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0BB1FB9A-E0A3-45CF-9F2C-620B2A086C2E}"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<sst xmlns="http://schemas.openxmlformats.org/spreadsheetml/2006/main" count="58" uniqueCount="57">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</sst>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topLeftCell="A7" zoomScaleNormal="100" workbookViewId="0">
      <selection activeCell="D18" sqref="D18:D19"/>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106" t="s">
        <v>44</v>
      </c>
      <c r="B6" s="107"/>
      <c r="C6" s="107"/>
      <c r="D6" s="107"/>
      <c r="E6" s="108"/>
    </row>
    <row r="7" spans="1:5" ht="16.5">
      <c r="A7" s="109"/>
      <c r="B7" s="110"/>
      <c r="C7" s="110"/>
      <c r="D7" s="110"/>
      <c r="E7" s="111"/>
    </row>
    <row r="8" spans="1:5">
      <c r="A8" s="121" t="s">
        <v>0</v>
      </c>
      <c r="B8" s="122"/>
      <c r="C8" s="122"/>
      <c r="D8" s="122"/>
      <c r="E8" s="123"/>
    </row>
    <row r="9" spans="1:5" ht="24" customHeight="1">
      <c r="A9" s="112" t="s">
        <v>28</v>
      </c>
      <c r="B9" s="113"/>
      <c r="C9" s="113"/>
      <c r="D9" s="113"/>
      <c r="E9" s="114"/>
    </row>
    <row r="10" spans="1:5" ht="24" customHeight="1">
      <c r="A10" s="112"/>
      <c r="B10" s="113"/>
      <c r="C10" s="113"/>
      <c r="D10" s="113"/>
      <c r="E10" s="114"/>
    </row>
    <row r="11" spans="1:5" ht="7.5" customHeight="1">
      <c r="A11" s="115"/>
      <c r="B11" s="116"/>
      <c r="C11" s="116"/>
      <c r="D11" s="116"/>
      <c r="E11" s="117"/>
    </row>
    <row r="12" spans="1:5">
      <c r="A12" s="37" t="s">
        <v>1</v>
      </c>
      <c r="B12" s="38"/>
      <c r="C12" s="38"/>
      <c r="D12" s="38"/>
      <c r="E12" s="39"/>
    </row>
    <row r="13" spans="1:5" ht="6" customHeight="1" thickBot="1">
      <c r="A13" s="118"/>
      <c r="B13" s="119"/>
      <c r="C13" s="119"/>
      <c r="D13" s="119"/>
      <c r="E13" s="120"/>
    </row>
    <row r="14" spans="1:5" ht="15.75" thickBot="1">
      <c r="A14" s="46" t="s">
        <v>37</v>
      </c>
      <c r="B14" s="47"/>
      <c r="C14" s="49" t="s">
        <v>2</v>
      </c>
      <c r="D14" s="50"/>
      <c r="E14" s="51"/>
    </row>
    <row r="15" spans="1:5" ht="15.75" thickBot="1">
      <c r="A15" s="48"/>
      <c r="B15" s="48"/>
      <c r="C15" s="52"/>
      <c r="D15" s="53"/>
      <c r="E15" s="54"/>
    </row>
    <row r="16" spans="1:5" ht="15.75" thickBot="1">
      <c r="A16" s="127" t="s">
        <v>34</v>
      </c>
      <c r="B16" s="127"/>
      <c r="C16" s="21" t="s">
        <v>43</v>
      </c>
      <c r="D16" s="37" t="s">
        <v>31</v>
      </c>
      <c r="E16" s="39"/>
    </row>
    <row r="17" spans="1:5" ht="21.75" customHeight="1" thickBot="1">
      <c r="A17" s="124"/>
      <c r="B17" s="124"/>
      <c r="C17" s="20"/>
      <c r="D17" s="21" t="s">
        <v>29</v>
      </c>
      <c r="E17" s="21" t="s">
        <v>30</v>
      </c>
    </row>
    <row r="18" spans="1:5" ht="15.75" thickBot="1">
      <c r="A18" s="21" t="s">
        <v>32</v>
      </c>
      <c r="B18" s="87"/>
      <c r="C18" s="88"/>
      <c r="D18" s="128">
        <v>6</v>
      </c>
      <c r="E18" s="130">
        <v>2025</v>
      </c>
    </row>
    <row r="19" spans="1:5" ht="15.75" thickBot="1">
      <c r="A19" s="132" t="s">
        <v>3</v>
      </c>
      <c r="B19" s="133"/>
      <c r="C19" s="134"/>
      <c r="D19" s="129"/>
      <c r="E19" s="131"/>
    </row>
    <row r="20" spans="1:5" ht="15.75" thickBot="1">
      <c r="A20" s="46" t="s">
        <v>4</v>
      </c>
      <c r="B20" s="47"/>
      <c r="C20" s="21" t="s">
        <v>5</v>
      </c>
      <c r="D20" s="21" t="s">
        <v>6</v>
      </c>
      <c r="E20" s="21" t="s">
        <v>7</v>
      </c>
    </row>
    <row r="21" spans="1:5" ht="15.75" thickBot="1">
      <c r="A21" s="97"/>
      <c r="B21" s="98"/>
      <c r="C21" s="23"/>
      <c r="D21" s="22"/>
      <c r="E21" s="22"/>
    </row>
    <row r="22" spans="1:5" ht="15.75" thickBot="1">
      <c r="A22" s="46" t="s">
        <v>8</v>
      </c>
      <c r="B22" s="47"/>
      <c r="C22" s="21" t="s">
        <v>9</v>
      </c>
      <c r="D22" s="21" t="s">
        <v>10</v>
      </c>
      <c r="E22" s="21" t="s">
        <v>11</v>
      </c>
    </row>
    <row r="23" spans="1:5" ht="15.75" thickBot="1">
      <c r="A23" s="99"/>
      <c r="B23" s="100"/>
      <c r="C23" s="24" t="s">
        <v>12</v>
      </c>
      <c r="D23" s="23" t="s">
        <v>12</v>
      </c>
      <c r="E23" s="22" t="s">
        <v>13</v>
      </c>
    </row>
    <row r="24" spans="1:5" ht="27" customHeight="1" thickBot="1">
      <c r="A24" s="101" t="s">
        <v>45</v>
      </c>
      <c r="B24" s="26" t="s">
        <v>49</v>
      </c>
      <c r="C24" s="30">
        <f>B26+C26</f>
        <v>210</v>
      </c>
      <c r="D24" s="125" t="s">
        <v>46</v>
      </c>
      <c r="E24" s="125" t="s">
        <v>50</v>
      </c>
    </row>
    <row r="25" spans="1:5" ht="28.5" customHeight="1" thickBot="1">
      <c r="A25" s="102"/>
      <c r="B25" s="25" t="s">
        <v>47</v>
      </c>
      <c r="C25" s="25" t="s">
        <v>48</v>
      </c>
      <c r="D25" s="126"/>
      <c r="E25" s="126"/>
    </row>
    <row r="26" spans="1:5" ht="15.75" thickBot="1">
      <c r="A26" s="6">
        <v>20</v>
      </c>
      <c r="B26" s="19">
        <v>100</v>
      </c>
      <c r="C26" s="19">
        <v>110</v>
      </c>
      <c r="D26" s="28">
        <f>A26+C24</f>
        <v>230</v>
      </c>
      <c r="E26" s="27">
        <v>31</v>
      </c>
    </row>
    <row r="27" spans="1:5" s="5" customFormat="1" ht="8.25" customHeight="1" thickBot="1">
      <c r="A27" s="94"/>
      <c r="B27" s="95"/>
      <c r="C27" s="95"/>
      <c r="D27" s="95"/>
      <c r="E27" s="96"/>
    </row>
    <row r="28" spans="1:5">
      <c r="A28" s="89" t="s">
        <v>42</v>
      </c>
      <c r="B28" s="90"/>
      <c r="C28" s="90"/>
      <c r="D28" s="90"/>
      <c r="E28" s="91"/>
    </row>
    <row r="29" spans="1:5">
      <c r="A29" s="70" t="s">
        <v>14</v>
      </c>
      <c r="B29" s="71"/>
      <c r="C29" s="71"/>
      <c r="D29" s="92">
        <f>A26</f>
        <v>20</v>
      </c>
      <c r="E29" s="93"/>
    </row>
    <row r="30" spans="1:5">
      <c r="A30" s="70" t="s">
        <v>56</v>
      </c>
      <c r="B30" s="71"/>
      <c r="C30" s="71"/>
      <c r="D30" s="72">
        <f>Trabajo!H7*0.2</f>
        <v>22.628</v>
      </c>
      <c r="E30" s="73"/>
    </row>
    <row r="31" spans="1:5">
      <c r="A31" s="70" t="s">
        <v>15</v>
      </c>
      <c r="B31" s="71"/>
      <c r="C31" s="71"/>
      <c r="D31" s="72" t="str">
        <f ca="1">IF(Trabajo!I5="CORRECTO",D29*D30,"VERSION DE FORMATO INCORRECTO")</f>
        <v>VERSION DE FORMATO INCORRECTO</v>
      </c>
      <c r="E31" s="73"/>
    </row>
    <row r="32" spans="1:5">
      <c r="A32" s="70" t="s">
        <v>16</v>
      </c>
      <c r="B32" s="71"/>
      <c r="C32" s="71"/>
      <c r="D32" s="72" t="e">
        <f ca="1">IF(Trabajo!G3="SI COBRO",(Formato!D31*Trabajo!C5)-Formato!D31,0)</f>
        <v>#VALUE!</v>
      </c>
      <c r="E32" s="73"/>
    </row>
    <row r="33" spans="1:5">
      <c r="A33" s="70" t="s">
        <v>17</v>
      </c>
      <c r="B33" s="71"/>
      <c r="C33" s="71"/>
      <c r="D33" s="72" t="e">
        <f ca="1">IF(Trabajo!G3="SI COBRO",(Formato!D31+Formato!D32)*(Trabajo!D5/100),0)</f>
        <v>#VALUE!</v>
      </c>
      <c r="E33" s="73"/>
    </row>
    <row r="34" spans="1:5">
      <c r="A34" s="82" t="s">
        <v>51</v>
      </c>
      <c r="B34" s="83"/>
      <c r="C34" s="84"/>
      <c r="D34" s="85">
        <f ca="1">IF(MONTH(TODAY())&gt;=15,IF(Trabajo!G3="SI COBRO",(Formato!D31+Formato!D32)*(Trabajo!D5/100)*-1,0),0)</f>
        <v>0</v>
      </c>
      <c r="E34" s="86"/>
    </row>
    <row r="35" spans="1:5" ht="15.75" thickBot="1">
      <c r="A35" s="74" t="s">
        <v>18</v>
      </c>
      <c r="B35" s="75"/>
      <c r="C35" s="75"/>
      <c r="D35" s="76" t="e">
        <f ca="1">SUM(D31:E34)</f>
        <v>#VALUE!</v>
      </c>
      <c r="E35" s="77"/>
    </row>
    <row r="36" spans="1:5" ht="7.5" customHeight="1" thickBot="1">
      <c r="A36" s="78"/>
      <c r="B36" s="79"/>
      <c r="C36" s="79"/>
      <c r="D36" s="80"/>
      <c r="E36" s="81"/>
    </row>
    <row r="37" spans="1:5" ht="34.5" customHeight="1">
      <c r="A37" s="31"/>
      <c r="B37" s="32"/>
      <c r="C37" s="33"/>
      <c r="D37" s="103"/>
      <c r="E37" s="66"/>
    </row>
    <row r="38" spans="1:5" ht="30.75" customHeight="1" thickBot="1">
      <c r="A38" s="34"/>
      <c r="B38" s="35"/>
      <c r="C38" s="36"/>
      <c r="D38" s="104"/>
      <c r="E38" s="105"/>
    </row>
    <row r="39" spans="1:5">
      <c r="A39" s="67" t="s">
        <v>41</v>
      </c>
      <c r="B39" s="68"/>
      <c r="C39" s="69"/>
      <c r="D39" s="65" t="s">
        <v>40</v>
      </c>
      <c r="E39" s="66"/>
    </row>
    <row r="40" spans="1:5" ht="21" customHeight="1">
      <c r="A40" s="59" t="s">
        <v>39</v>
      </c>
      <c r="B40" s="60"/>
      <c r="C40" s="61"/>
      <c r="D40" s="55" t="s">
        <v>55</v>
      </c>
      <c r="E40" s="56"/>
    </row>
    <row r="41" spans="1:5" ht="24" customHeight="1" thickBot="1">
      <c r="A41" s="62"/>
      <c r="B41" s="63"/>
      <c r="C41" s="64"/>
      <c r="D41" s="57" t="s">
        <v>38</v>
      </c>
      <c r="E41" s="58"/>
    </row>
    <row r="42" spans="1:5">
      <c r="A42" s="37" t="str">
        <f ca="1">CONCATENATE("COZUMEL, QUINTANA  ROO, A ",DAY(TODAY())," DE ", UPPER(TEXT(TODAY(),"MMMM"))," DE ",YEAR(TODAY()))</f>
        <v>COZUMEL, QUINTANA  ROO, A 28 DE ENERO DE 2026</v>
      </c>
      <c r="B42" s="38"/>
      <c r="C42" s="38"/>
      <c r="D42" s="38"/>
      <c r="E42" s="39"/>
    </row>
    <row r="43" spans="1:5">
      <c r="A43" s="40"/>
      <c r="B43" s="41"/>
      <c r="C43" s="41"/>
      <c r="D43" s="41"/>
      <c r="E43" s="42"/>
    </row>
    <row r="44" spans="1:5" ht="121.5" customHeight="1">
      <c r="A44" s="43" t="s">
        <v>33</v>
      </c>
      <c r="B44" s="44"/>
      <c r="C44" s="44"/>
      <c r="D44" s="44"/>
      <c r="E44" s="45"/>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dataConsolidate/>
  <mergeCells count="51">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 ref="B18:C18"/>
    <mergeCell ref="A28:E28"/>
    <mergeCell ref="A29:C29"/>
    <mergeCell ref="D29:E29"/>
    <mergeCell ref="A27:E27"/>
    <mergeCell ref="A20:B20"/>
    <mergeCell ref="A21:B21"/>
    <mergeCell ref="A22:B22"/>
    <mergeCell ref="A23:B23"/>
    <mergeCell ref="A24:A25"/>
    <mergeCell ref="A36:E36"/>
    <mergeCell ref="A30:C30"/>
    <mergeCell ref="D30:E30"/>
    <mergeCell ref="A31:C31"/>
    <mergeCell ref="D31:E31"/>
    <mergeCell ref="A32:C32"/>
    <mergeCell ref="D32:E32"/>
    <mergeCell ref="A34:C34"/>
    <mergeCell ref="D34:E34"/>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20257</v>
      </c>
      <c r="C3" s="1">
        <f>VLOOKUP(B3,INPC!A1:E98,5,0)</f>
        <v>140.405</v>
      </c>
      <c r="D3" s="1">
        <f>VLOOKUP(B3,INPC!A1:E98,4,0)</f>
        <v>1.47</v>
      </c>
      <c r="E3" s="1">
        <f>MATCH(B3,INPC!$A$1:$A$98,0)+1</f>
        <v>80</v>
      </c>
      <c r="F3" s="1">
        <f>VLOOKUP(B3,INPC!A1:E98,4,0)</f>
        <v>1.47</v>
      </c>
      <c r="G3" s="135" t="str">
        <f ca="1">IF(Formato!E18=A3,IF(Formato!D18=A4,"NO COBRO",IF(Formato!D18=A4-1,IF(DAY(TODAY())&lt;=18,"NO COBRO","SI COBRO"),"SI COBRO")),IF(Formato!D18=12,IF(A4=1,IF(DAY(TODAY())&lt;=18,"NO COBRO","SI COBRO"),"SI COBRO"),"SI COBRO"))</f>
        <v>SI COBRO</v>
      </c>
    </row>
    <row r="4" spans="1:9">
      <c r="A4">
        <f ca="1">MONTH(TODAY())</f>
        <v>1</v>
      </c>
      <c r="B4" s="1" t="str">
        <f ca="1">CONCATENATE(YEAR(TODAY()),MONTH(TODAY()))</f>
        <v>20261</v>
      </c>
      <c r="C4" s="1">
        <f ca="1">IF(VLOOKUP(B4,INPC!A2:E98,5,0)=0,VLOOKUP(CONCATENATE(IF(MONTH(TODAY())=1,YEAR(TODAY())-1,YEAR(TODAY())),IF(MONTH(TODAY())=1,12,MONTH(TODAY())-1)),INPC!A2:E98,5,0),VLOOKUP(B4,INPC!A2:E98,5,0))</f>
        <v>143.042</v>
      </c>
      <c r="D4" s="1">
        <f ca="1">VLOOKUP(B4,INPC!A2:E98,4,0)</f>
        <v>1.47</v>
      </c>
      <c r="E4" s="1">
        <f ca="1">MATCH(B4,INPC!$A$1:$A$98,0)+1</f>
        <v>86</v>
      </c>
      <c r="F4" s="1">
        <f ca="1">VLOOKUP(B4,INPC!A1:E98,4,0)</f>
        <v>1.47</v>
      </c>
      <c r="G4" s="135"/>
      <c r="I4" t="str">
        <f ca="1">IF(Formato!E18=A3,IF(Formato!D18&lt;=A4-1,IF(DAY(TODAY())&lt;=15,"NO COBRO","SI COBRO"),"NO COBRO"),IF(Formato!D18=12,IF(A4=1,IF(DAY(TODAY())&lt;=15,"NO COBRO","SI COBRO"),"SI COBRO"),"SI COBRO"))</f>
        <v>SI COBRO</v>
      </c>
    </row>
    <row r="5" spans="1:9" ht="15.75" customHeight="1">
      <c r="B5" s="1"/>
      <c r="C5" s="1">
        <f ca="1">IF((C4/C3)&lt;1,1,C4/C3)</f>
        <v>1.0187813824294008</v>
      </c>
      <c r="D5" s="1">
        <f ca="1">SUM(INDIRECT("INPC!D"&amp;E3&amp;":D"&amp;E4))</f>
        <v>10.290000000000001</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INCORRECTO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35</v>
      </c>
      <c r="G7" t="str">
        <f>CONCATENATE(IF(Formato!D18=12,Formato!E18+1,Formato!E18),IF(Formato!D18=12,1,Formato!D18+1))</f>
        <v>20257</v>
      </c>
      <c r="H7">
        <f>VLOOKUP(G7,INPC!A1:G98,7,0)</f>
        <v>113.14</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E89" sqref="E89"/>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143.042</v>
      </c>
      <c r="G86">
        <v>113.14</v>
      </c>
    </row>
    <row r="87" spans="1:7">
      <c r="A87" t="str">
        <f t="shared" si="1"/>
        <v>20263</v>
      </c>
      <c r="B87">
        <v>2026</v>
      </c>
      <c r="C87">
        <v>2</v>
      </c>
      <c r="D87">
        <v>1.47</v>
      </c>
      <c r="E87" s="29"/>
      <c r="G87">
        <v>117.31</v>
      </c>
    </row>
    <row r="88" spans="1:7">
      <c r="A88" t="str">
        <f t="shared" si="1"/>
        <v>20264</v>
      </c>
      <c r="B88">
        <v>2026</v>
      </c>
      <c r="C88">
        <v>3</v>
      </c>
      <c r="D88">
        <v>1.47</v>
      </c>
      <c r="G88">
        <v>117.31</v>
      </c>
    </row>
    <row r="89" spans="1:7">
      <c r="A89" t="str">
        <f t="shared" si="1"/>
        <v>20265</v>
      </c>
      <c r="B89">
        <v>2026</v>
      </c>
      <c r="C89">
        <v>4</v>
      </c>
      <c r="D89">
        <v>1.47</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Gog7twMYkZyM8BfX09tTUidiI3rPu57+lrsfntzpnJLFhXIhd+hOyfSwlw6rNar/fQOfRvxEHkVszp633gVIkg==" saltValue="1MbugcOV+toqqWaGrsw6V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2026-01-28T19:23:46Z</dcterms:modified>
</cp:coreProperties>
</file>